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555" windowWidth="23520" windowHeight="11580"/>
  </bookViews>
  <sheets>
    <sheet name="Detail Review" sheetId="1" r:id="rId1"/>
    <sheet name="Summary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6" i="1" l="1"/>
  <c r="G56" i="1" s="1"/>
  <c r="F57" i="1"/>
  <c r="H57" i="1" s="1"/>
  <c r="H10" i="1"/>
  <c r="H9" i="1"/>
  <c r="H8" i="1"/>
  <c r="H7" i="1"/>
  <c r="H6" i="1"/>
  <c r="H5" i="1"/>
  <c r="H4" i="1"/>
  <c r="H3" i="1"/>
  <c r="H52" i="1"/>
  <c r="H11" i="1" l="1"/>
  <c r="C20" i="2" l="1"/>
  <c r="B30" i="2"/>
  <c r="B22" i="2"/>
  <c r="B14" i="2" l="1"/>
  <c r="B15" i="2"/>
  <c r="A12" i="2"/>
  <c r="C9" i="2"/>
  <c r="B10" i="2" s="1"/>
  <c r="B16" i="2" l="1"/>
  <c r="B17" i="2" s="1"/>
  <c r="I68" i="1" l="1"/>
  <c r="I73" i="1" s="1"/>
  <c r="H73" i="1" l="1"/>
  <c r="G39" i="1"/>
  <c r="E47" i="1" l="1"/>
  <c r="B45" i="1"/>
  <c r="E45" i="1" s="1"/>
  <c r="G20" i="1" l="1"/>
  <c r="H20" i="1" s="1"/>
  <c r="M20" i="1"/>
  <c r="L20" i="1"/>
  <c r="E20" i="1"/>
  <c r="H69" i="1" l="1"/>
  <c r="H70" i="1" s="1"/>
  <c r="L3" i="1" l="1"/>
  <c r="L10" i="1"/>
  <c r="L9" i="1"/>
  <c r="L8" i="1"/>
  <c r="L7" i="1"/>
  <c r="L6" i="1"/>
  <c r="L5" i="1"/>
  <c r="L4" i="1"/>
  <c r="L11" i="1" l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0" i="1"/>
  <c r="H40" i="1" s="1"/>
  <c r="H39" i="1"/>
  <c r="G38" i="1"/>
  <c r="H38" i="1" s="1"/>
  <c r="G37" i="1"/>
  <c r="H37" i="1" s="1"/>
  <c r="G36" i="1"/>
  <c r="H36" i="1" s="1"/>
  <c r="G35" i="1"/>
  <c r="H35" i="1" s="1"/>
  <c r="G34" i="1"/>
  <c r="H34" i="1" s="1"/>
  <c r="H33" i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19" i="1"/>
  <c r="H19" i="1" s="1"/>
  <c r="G18" i="1"/>
  <c r="H18" i="1" s="1"/>
  <c r="G17" i="1"/>
  <c r="H17" i="1" s="1"/>
  <c r="C15" i="1"/>
  <c r="G15" i="1" s="1"/>
  <c r="H15" i="1" s="1"/>
  <c r="C4" i="1"/>
  <c r="C14" i="1"/>
  <c r="G14" i="1" s="1"/>
  <c r="H14" i="1" s="1"/>
  <c r="E15" i="1" l="1"/>
  <c r="E14" i="1"/>
  <c r="B65" i="1"/>
  <c r="B66" i="1" s="1"/>
  <c r="H66" i="1" s="1"/>
  <c r="H71" i="1" l="1"/>
  <c r="M47" i="1"/>
  <c r="M46" i="1"/>
  <c r="M45" i="1"/>
  <c r="M18" i="1"/>
  <c r="M44" i="1"/>
  <c r="M43" i="1"/>
  <c r="M42" i="1"/>
  <c r="L41" i="1"/>
  <c r="M41" i="1"/>
  <c r="E40" i="1"/>
  <c r="L40" i="1" s="1"/>
  <c r="M40" i="1" s="1"/>
  <c r="M39" i="1"/>
  <c r="M38" i="1"/>
  <c r="M37" i="1"/>
  <c r="M36" i="1"/>
  <c r="E35" i="1"/>
  <c r="L35" i="1"/>
  <c r="M35" i="1"/>
  <c r="M34" i="1"/>
  <c r="L33" i="1"/>
  <c r="M33" i="1"/>
  <c r="M32" i="1"/>
  <c r="E31" i="1"/>
  <c r="L31" i="1" s="1"/>
  <c r="M31" i="1" s="1"/>
  <c r="E30" i="1"/>
  <c r="L30" i="1" s="1"/>
  <c r="M30" i="1" s="1"/>
  <c r="E29" i="1"/>
  <c r="L29" i="1" s="1"/>
  <c r="M29" i="1" s="1"/>
  <c r="M28" i="1"/>
  <c r="M27" i="1"/>
  <c r="M26" i="1"/>
  <c r="M25" i="1"/>
  <c r="M24" i="1"/>
  <c r="E23" i="1"/>
  <c r="L23" i="1" s="1"/>
  <c r="M23" i="1" s="1"/>
  <c r="E22" i="1"/>
  <c r="L22" i="1" s="1"/>
  <c r="M22" i="1" s="1"/>
  <c r="M21" i="1"/>
  <c r="L17" i="1"/>
  <c r="M17" i="1"/>
  <c r="L16" i="1"/>
  <c r="M16" i="1"/>
  <c r="L47" i="1"/>
  <c r="L46" i="1"/>
  <c r="L45" i="1"/>
  <c r="L18" i="1"/>
  <c r="L44" i="1"/>
  <c r="L43" i="1"/>
  <c r="L39" i="1"/>
  <c r="L38" i="1"/>
  <c r="L37" i="1"/>
  <c r="L36" i="1"/>
  <c r="L34" i="1"/>
  <c r="L32" i="1"/>
  <c r="L28" i="1"/>
  <c r="L27" i="1"/>
  <c r="L26" i="1"/>
  <c r="L25" i="1"/>
  <c r="L24" i="1"/>
  <c r="L21" i="1"/>
  <c r="B10" i="1"/>
  <c r="G10" i="1" s="1"/>
  <c r="B8" i="1"/>
  <c r="G8" i="1" s="1"/>
  <c r="E61" i="1"/>
  <c r="B60" i="1"/>
  <c r="B16" i="1"/>
  <c r="G16" i="1" s="1"/>
  <c r="H16" i="1" s="1"/>
  <c r="B4" i="1"/>
  <c r="G4" i="1" s="1"/>
  <c r="B3" i="1"/>
  <c r="G3" i="1" s="1"/>
  <c r="B41" i="1"/>
  <c r="G41" i="1" s="1"/>
  <c r="H41" i="1" s="1"/>
  <c r="E19" i="1"/>
  <c r="L19" i="1"/>
  <c r="M19" i="1" s="1"/>
  <c r="E38" i="1"/>
  <c r="E24" i="1"/>
  <c r="E25" i="1"/>
  <c r="E39" i="1"/>
  <c r="B5" i="1"/>
  <c r="G5" i="1" s="1"/>
  <c r="B6" i="1"/>
  <c r="G6" i="1" s="1"/>
  <c r="B7" i="1"/>
  <c r="G7" i="1" s="1"/>
  <c r="B9" i="1"/>
  <c r="G9" i="1" s="1"/>
  <c r="E46" i="1"/>
  <c r="E36" i="1"/>
  <c r="E21" i="1"/>
  <c r="E42" i="1"/>
  <c r="L42" i="1"/>
  <c r="E32" i="1"/>
  <c r="E28" i="1"/>
  <c r="E27" i="1"/>
  <c r="E26" i="1"/>
  <c r="E44" i="1"/>
  <c r="E34" i="1"/>
  <c r="E33" i="1"/>
  <c r="E37" i="1"/>
  <c r="E18" i="1"/>
  <c r="E43" i="1"/>
  <c r="E17" i="1"/>
  <c r="E49" i="1" l="1"/>
  <c r="L49" i="1"/>
  <c r="M49" i="1"/>
  <c r="G11" i="1"/>
  <c r="H49" i="1" s="1"/>
  <c r="H51" i="1" s="1"/>
  <c r="H53" i="1" s="1"/>
  <c r="B49" i="1"/>
  <c r="B3" i="2" l="1"/>
  <c r="B4" i="2" s="1"/>
  <c r="I74" i="1"/>
  <c r="H74" i="1"/>
  <c r="H72" i="1"/>
  <c r="G49" i="1"/>
  <c r="G51" i="1" s="1"/>
  <c r="G53" i="1" s="1"/>
  <c r="G55" i="1" s="1"/>
</calcChain>
</file>

<file path=xl/sharedStrings.xml><?xml version="1.0" encoding="utf-8"?>
<sst xmlns="http://schemas.openxmlformats.org/spreadsheetml/2006/main" count="108" uniqueCount="105">
  <si>
    <t>Appliance</t>
  </si>
  <si>
    <t>Est Use Hrs</t>
  </si>
  <si>
    <t>Voltage</t>
  </si>
  <si>
    <t>32" Flat Panel TV</t>
  </si>
  <si>
    <t>Amps/hr</t>
  </si>
  <si>
    <t>Stereo</t>
  </si>
  <si>
    <t>Heating Pad</t>
  </si>
  <si>
    <t>Electric drill</t>
  </si>
  <si>
    <t>Computer</t>
  </si>
  <si>
    <t>Computer Monitor</t>
  </si>
  <si>
    <t>Computer Printer</t>
  </si>
  <si>
    <t>Laptop Computer</t>
  </si>
  <si>
    <t>Toaster</t>
  </si>
  <si>
    <t>Microwave</t>
  </si>
  <si>
    <t>Coffee Maker - brew</t>
  </si>
  <si>
    <t>Coffee Maker - warmer</t>
  </si>
  <si>
    <t>Propane Refrig</t>
  </si>
  <si>
    <t>Propane Water Heater</t>
  </si>
  <si>
    <t>RV Lights</t>
  </si>
  <si>
    <t>Water Pump</t>
  </si>
  <si>
    <t>Household Refrig (40%)</t>
  </si>
  <si>
    <t>Exhaust Fan</t>
  </si>
  <si>
    <t>Ceiling Fan</t>
  </si>
  <si>
    <t>Clock Radio</t>
  </si>
  <si>
    <t>Clothes Washer</t>
  </si>
  <si>
    <t>Clothes Dryer</t>
  </si>
  <si>
    <t>Compact Dishwasher</t>
  </si>
  <si>
    <t>Elec. Fireplace</t>
  </si>
  <si>
    <t>Slow Cooker</t>
  </si>
  <si>
    <t>A/C 13,500</t>
  </si>
  <si>
    <t>Blender</t>
  </si>
  <si>
    <t>Hair Dryer</t>
  </si>
  <si>
    <t>Electric blanket (up to 500w)</t>
  </si>
  <si>
    <t>VCR/DVD (up to 250?)</t>
  </si>
  <si>
    <t>Furnace Fan (10-12 A)</t>
  </si>
  <si>
    <t>Range Hood</t>
  </si>
  <si>
    <t>Total</t>
  </si>
  <si>
    <t>Refrig P/E (in elec mode- 5-8)</t>
  </si>
  <si>
    <t>DC Converter</t>
  </si>
  <si>
    <t>50 w bulb</t>
  </si>
  <si>
    <t>Daily Watt Hours</t>
  </si>
  <si>
    <t>Simultaneous Use</t>
  </si>
  <si>
    <t>120 V Amps</t>
  </si>
  <si>
    <t>120 V Watts</t>
  </si>
  <si>
    <t>50% capacity usage</t>
  </si>
  <si>
    <t>Batteries required for load</t>
  </si>
  <si>
    <t>80% Inverter Efficiency</t>
  </si>
  <si>
    <t>Intellitec PD9260</t>
  </si>
  <si>
    <t>Max Continuous Input</t>
  </si>
  <si>
    <t>Max DC Output</t>
  </si>
  <si>
    <t>Efficiency Factor</t>
  </si>
  <si>
    <t>Act Wattage</t>
  </si>
  <si>
    <t>Est Wattage</t>
  </si>
  <si>
    <t>Background Energy</t>
  </si>
  <si>
    <t xml:space="preserve">    Refrig, Converter, etc</t>
  </si>
  <si>
    <t>Furnace Fan 120v</t>
  </si>
  <si>
    <t>Solar Panels Required</t>
  </si>
  <si>
    <t>12V Amps</t>
  </si>
  <si>
    <t xml:space="preserve"> 12 v - 6 v conversion</t>
  </si>
  <si>
    <t>A/C 15,000   --   3300 W Start Surge</t>
  </si>
  <si>
    <t>Solar Panels</t>
  </si>
  <si>
    <t>Solar Charge Controller</t>
  </si>
  <si>
    <t>Automatic Transfer Switch</t>
  </si>
  <si>
    <t>5000 BTU window AC</t>
  </si>
  <si>
    <t>Battery Reserve Capacity</t>
  </si>
  <si>
    <t>12v Ah</t>
  </si>
  <si>
    <t>12 V Ah</t>
  </si>
  <si>
    <t>Battery Bank Size (pairs)</t>
  </si>
  <si>
    <t>Solar Plans - Summary</t>
  </si>
  <si>
    <t>Estimated Daily Electrical Usage</t>
  </si>
  <si>
    <t>Canadian Solar 255W  Solar Panel CS6P-255P</t>
  </si>
  <si>
    <t>Watts ea</t>
  </si>
  <si>
    <t xml:space="preserve">    Number of panels</t>
  </si>
  <si>
    <t xml:space="preserve">    Effective Hours Solar</t>
  </si>
  <si>
    <t xml:space="preserve">          12 v Amp Hours generated</t>
  </si>
  <si>
    <t xml:space="preserve">    Total daily Watts</t>
  </si>
  <si>
    <t>Battery Bank</t>
  </si>
  <si>
    <t xml:space="preserve">    Number of Batteries</t>
  </si>
  <si>
    <t xml:space="preserve">    Wired in Series for 12 V operation - Equiv. 12v</t>
  </si>
  <si>
    <t xml:space="preserve">    Volt Amp rated capacity</t>
  </si>
  <si>
    <t xml:space="preserve">    Total 12 Capacity</t>
  </si>
  <si>
    <t xml:space="preserve">        Max 50% Discharge; Usable Capacity</t>
  </si>
  <si>
    <t xml:space="preserve">    Morningstar Tristar TS-MPPT-60</t>
  </si>
  <si>
    <t xml:space="preserve">        Input Capacity at 36v in Watts</t>
  </si>
  <si>
    <t xml:space="preserve">        4 Stage Battery Charging - 60 Amp max</t>
  </si>
  <si>
    <t xml:space="preserve">        Solar Charging Capacity - Maximum at "x" hrs</t>
  </si>
  <si>
    <t>Power Inverter - 110 VAC</t>
  </si>
  <si>
    <t>watts</t>
  </si>
  <si>
    <t xml:space="preserve">    Wagan 2206 Elite - Pure Sine Wave</t>
  </si>
  <si>
    <t xml:space="preserve">        Surge Power Capacity</t>
  </si>
  <si>
    <t xml:space="preserve">        Maximum Efficiency </t>
  </si>
  <si>
    <t xml:space="preserve">    plus 25% safety factor</t>
  </si>
  <si>
    <t>DC Converter Charger</t>
  </si>
  <si>
    <t xml:space="preserve">    PD9260C - 60 Amp RV Converter/Charger</t>
  </si>
  <si>
    <t xml:space="preserve">        (Shore power charging - unit already installed)</t>
  </si>
  <si>
    <t>Max Charge Rate</t>
  </si>
  <si>
    <t>Shore Power connection</t>
  </si>
  <si>
    <t>Max 12v Amp Hours</t>
  </si>
  <si>
    <t xml:space="preserve">    PD52 240 VAC 50-Amp Automatic Transfer Switch</t>
  </si>
  <si>
    <t>amps</t>
  </si>
  <si>
    <t>Solar Requirements</t>
  </si>
  <si>
    <t xml:space="preserve">     Safety Factor</t>
  </si>
  <si>
    <t>Solar Panels Installed</t>
  </si>
  <si>
    <t>Crown CR-235</t>
  </si>
  <si>
    <t>Propane/Fire/CO Alarms (sniffer)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</si>
</sst>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#,##0.0"/>
    <numFmt numFmtId="169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3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0" xfId="0" applyNumberFormat="1"/>
    <xf numFmtId="3" fontId="0" fillId="0" borderId="0" xfId="0" applyNumberFormat="1" applyAlignment="1">
      <alignment horizontal="center" wrapText="1"/>
    </xf>
    <xf numFmtId="3" fontId="0" fillId="0" borderId="0" xfId="0" applyNumberFormat="1"/>
    <xf numFmtId="164" fontId="1" fillId="2" borderId="0" xfId="1" applyNumberFormat="1" applyFont="1"/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 wrapText="1"/>
    </xf>
    <xf numFmtId="165" fontId="0" fillId="0" borderId="0" xfId="0" applyNumberFormat="1"/>
    <xf numFmtId="9" fontId="0" fillId="0" borderId="0" xfId="0" applyNumberFormat="1"/>
    <xf numFmtId="4" fontId="0" fillId="0" borderId="0" xfId="0" applyNumberFormat="1"/>
    <xf numFmtId="43" fontId="0" fillId="0" borderId="0" xfId="2" applyFont="1"/>
    <xf numFmtId="9" fontId="0" fillId="0" borderId="0" xfId="3" applyFont="1"/>
    <xf numFmtId="43" fontId="0" fillId="0" borderId="0" xfId="0" applyNumberFormat="1"/>
    <xf numFmtId="0" fontId="5" fillId="3" borderId="0" xfId="4"/>
    <xf numFmtId="0" fontId="6" fillId="0" borderId="0" xfId="0" applyFont="1"/>
    <xf numFmtId="0" fontId="7" fillId="0" borderId="0" xfId="0" applyFont="1"/>
    <xf numFmtId="43" fontId="0" fillId="0" borderId="0" xfId="2" applyFont="1" applyAlignment="1">
      <alignment horizontal="center" wrapText="1"/>
    </xf>
    <xf numFmtId="169" fontId="0" fillId="0" borderId="0" xfId="2" applyNumberFormat="1" applyFont="1"/>
  </cellXfs>
  <cellStyles count="5">
    <cellStyle name="Bad" xfId="4" builtinId="27"/>
    <cellStyle name="Comma" xfId="2" builtinId="3"/>
    <cellStyle name="Neutral" xfId="1" builtinId="2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workbookViewId="0">
      <pane ySplit="1" topLeftCell="A62" activePane="bottomLeft" state="frozen"/>
      <selection pane="bottomLeft" activeCell="B84" sqref="B84"/>
    </sheetView>
  </sheetViews>
  <sheetFormatPr defaultRowHeight="15" x14ac:dyDescent="0.25"/>
  <cols>
    <col min="1" max="1" width="27.5703125" customWidth="1"/>
    <col min="2" max="2" width="9.140625" style="5"/>
    <col min="3" max="3" width="7" style="5" customWidth="1"/>
    <col min="5" max="5" width="9.42578125" style="3" customWidth="1"/>
    <col min="6" max="6" width="4.7109375" customWidth="1"/>
    <col min="7" max="7" width="10.42578125" customWidth="1"/>
    <col min="8" max="8" width="10" style="3" customWidth="1"/>
    <col min="9" max="9" width="16.7109375" bestFit="1" customWidth="1"/>
    <col min="11" max="11" width="2.42578125" customWidth="1"/>
    <col min="12" max="12" width="9.140625" style="9"/>
    <col min="13" max="13" width="10.5703125" style="12" bestFit="1" customWidth="1"/>
  </cols>
  <sheetData>
    <row r="1" spans="1:14" s="1" customFormat="1" ht="45" x14ac:dyDescent="0.25">
      <c r="A1" s="1" t="s">
        <v>0</v>
      </c>
      <c r="B1" s="4" t="s">
        <v>52</v>
      </c>
      <c r="C1" s="4" t="s">
        <v>51</v>
      </c>
      <c r="D1" s="1" t="s">
        <v>2</v>
      </c>
      <c r="E1" s="2" t="s">
        <v>4</v>
      </c>
      <c r="F1" s="1" t="s">
        <v>1</v>
      </c>
      <c r="G1" s="1" t="s">
        <v>40</v>
      </c>
      <c r="H1" s="2" t="s">
        <v>66</v>
      </c>
      <c r="J1" s="1" t="s">
        <v>41</v>
      </c>
      <c r="L1" s="8" t="s">
        <v>42</v>
      </c>
      <c r="M1" s="18" t="s">
        <v>43</v>
      </c>
      <c r="N1" s="1" t="s">
        <v>57</v>
      </c>
    </row>
    <row r="3" spans="1:14" x14ac:dyDescent="0.25">
      <c r="A3" t="s">
        <v>21</v>
      </c>
      <c r="B3" s="5">
        <f>D3*E3</f>
        <v>18</v>
      </c>
      <c r="D3">
        <v>12</v>
      </c>
      <c r="E3" s="3">
        <v>1.5</v>
      </c>
      <c r="F3">
        <v>4</v>
      </c>
      <c r="G3" s="19">
        <f t="shared" ref="G3:G10" si="0">F3*B3</f>
        <v>72</v>
      </c>
      <c r="H3" s="3">
        <f>E3*F3</f>
        <v>6</v>
      </c>
      <c r="L3" s="9" t="str">
        <f t="shared" ref="L3:L10" si="1">IF(J3&gt;0,E3,"")</f>
        <v/>
      </c>
    </row>
    <row r="4" spans="1:14" x14ac:dyDescent="0.25">
      <c r="A4" t="s">
        <v>34</v>
      </c>
      <c r="B4" s="5">
        <f>D4*E4</f>
        <v>144</v>
      </c>
      <c r="C4" s="5">
        <f>4*120</f>
        <v>480</v>
      </c>
      <c r="D4">
        <v>12</v>
      </c>
      <c r="E4" s="3">
        <v>12</v>
      </c>
      <c r="G4" s="19">
        <f t="shared" si="0"/>
        <v>0</v>
      </c>
      <c r="H4" s="3">
        <f t="shared" ref="H4:H10" si="2">E4*F4</f>
        <v>0</v>
      </c>
      <c r="L4" s="9" t="str">
        <f t="shared" si="1"/>
        <v/>
      </c>
    </row>
    <row r="5" spans="1:14" x14ac:dyDescent="0.25">
      <c r="A5" t="s">
        <v>104</v>
      </c>
      <c r="B5" s="5">
        <f>E5*D5</f>
        <v>7.92</v>
      </c>
      <c r="D5">
        <v>12</v>
      </c>
      <c r="E5" s="6">
        <v>0.66</v>
      </c>
      <c r="F5">
        <v>24</v>
      </c>
      <c r="G5" s="19">
        <f t="shared" si="0"/>
        <v>190.07999999999998</v>
      </c>
      <c r="H5" s="3">
        <f t="shared" si="2"/>
        <v>15.84</v>
      </c>
      <c r="J5">
        <v>1</v>
      </c>
      <c r="L5" s="9">
        <f t="shared" si="1"/>
        <v>0.66</v>
      </c>
    </row>
    <row r="6" spans="1:14" x14ac:dyDescent="0.25">
      <c r="A6" t="s">
        <v>16</v>
      </c>
      <c r="B6" s="5">
        <f>E6*D6</f>
        <v>24</v>
      </c>
      <c r="D6">
        <v>12</v>
      </c>
      <c r="E6" s="6">
        <v>2</v>
      </c>
      <c r="F6">
        <v>24</v>
      </c>
      <c r="G6" s="19">
        <f t="shared" si="0"/>
        <v>576</v>
      </c>
      <c r="H6" s="3">
        <f t="shared" si="2"/>
        <v>48</v>
      </c>
      <c r="J6">
        <v>1</v>
      </c>
      <c r="L6" s="9">
        <f t="shared" si="1"/>
        <v>2</v>
      </c>
    </row>
    <row r="7" spans="1:14" x14ac:dyDescent="0.25">
      <c r="A7" t="s">
        <v>17</v>
      </c>
      <c r="B7" s="5">
        <f>E7*D7</f>
        <v>3.96</v>
      </c>
      <c r="D7">
        <v>12</v>
      </c>
      <c r="E7" s="6">
        <v>0.33</v>
      </c>
      <c r="F7">
        <v>2</v>
      </c>
      <c r="G7" s="19">
        <f t="shared" si="0"/>
        <v>7.92</v>
      </c>
      <c r="H7" s="3">
        <f t="shared" si="2"/>
        <v>0.66</v>
      </c>
      <c r="J7">
        <v>1</v>
      </c>
      <c r="L7" s="9">
        <f t="shared" si="1"/>
        <v>0.33</v>
      </c>
    </row>
    <row r="8" spans="1:14" x14ac:dyDescent="0.25">
      <c r="A8" t="s">
        <v>35</v>
      </c>
      <c r="B8" s="5">
        <f>D8*E8</f>
        <v>36</v>
      </c>
      <c r="D8">
        <v>12</v>
      </c>
      <c r="E8" s="3">
        <v>3</v>
      </c>
      <c r="F8">
        <v>0</v>
      </c>
      <c r="G8" s="19">
        <f t="shared" si="0"/>
        <v>0</v>
      </c>
      <c r="H8" s="3">
        <f t="shared" si="2"/>
        <v>0</v>
      </c>
      <c r="L8" s="9" t="str">
        <f t="shared" si="1"/>
        <v/>
      </c>
    </row>
    <row r="9" spans="1:14" x14ac:dyDescent="0.25">
      <c r="A9" t="s">
        <v>18</v>
      </c>
      <c r="B9" s="5">
        <f>E9*D9</f>
        <v>21.6</v>
      </c>
      <c r="D9">
        <v>12</v>
      </c>
      <c r="E9" s="6">
        <v>1.8</v>
      </c>
      <c r="F9">
        <v>12</v>
      </c>
      <c r="G9" s="19">
        <f t="shared" si="0"/>
        <v>259.20000000000005</v>
      </c>
      <c r="H9" s="3">
        <f t="shared" si="2"/>
        <v>21.6</v>
      </c>
      <c r="J9">
        <v>1</v>
      </c>
      <c r="L9" s="9">
        <f t="shared" si="1"/>
        <v>1.8</v>
      </c>
    </row>
    <row r="10" spans="1:14" x14ac:dyDescent="0.25">
      <c r="A10" t="s">
        <v>19</v>
      </c>
      <c r="B10" s="5">
        <f>E10*D10</f>
        <v>48</v>
      </c>
      <c r="D10">
        <v>12</v>
      </c>
      <c r="E10" s="3">
        <v>4</v>
      </c>
      <c r="F10">
        <v>4</v>
      </c>
      <c r="G10" s="19">
        <f t="shared" si="0"/>
        <v>192</v>
      </c>
      <c r="H10" s="3">
        <f t="shared" si="2"/>
        <v>16</v>
      </c>
      <c r="L10" s="9" t="str">
        <f t="shared" si="1"/>
        <v/>
      </c>
    </row>
    <row r="11" spans="1:14" x14ac:dyDescent="0.25">
      <c r="A11" s="7" t="s">
        <v>36</v>
      </c>
      <c r="G11" s="19">
        <f>SUM(G3:G10)</f>
        <v>1297.1999999999998</v>
      </c>
      <c r="H11" s="19">
        <f>SUM(H3:H10)</f>
        <v>108.1</v>
      </c>
      <c r="I11" s="14"/>
      <c r="L11">
        <f>SUM(L3:L10)</f>
        <v>4.79</v>
      </c>
    </row>
    <row r="13" spans="1:14" x14ac:dyDescent="0.25">
      <c r="A13" t="s">
        <v>53</v>
      </c>
    </row>
    <row r="14" spans="1:14" x14ac:dyDescent="0.25">
      <c r="A14" t="s">
        <v>54</v>
      </c>
      <c r="C14" s="5">
        <f>5*120</f>
        <v>600</v>
      </c>
      <c r="D14">
        <v>120</v>
      </c>
      <c r="E14" s="3">
        <f>C14/D14</f>
        <v>5</v>
      </c>
      <c r="G14">
        <f>IF(C14&gt;0,F14*C14,F14*B14)</f>
        <v>0</v>
      </c>
      <c r="H14" s="3">
        <f>G14/12</f>
        <v>0</v>
      </c>
    </row>
    <row r="15" spans="1:14" x14ac:dyDescent="0.25">
      <c r="A15" t="s">
        <v>55</v>
      </c>
      <c r="C15" s="5">
        <f>4*120</f>
        <v>480</v>
      </c>
      <c r="D15">
        <v>120</v>
      </c>
      <c r="E15" s="3">
        <f>C15/D15</f>
        <v>4</v>
      </c>
      <c r="G15">
        <f t="shared" ref="G15:G47" si="3">IF(C15&gt;0,F15*C15,F15*B15)</f>
        <v>0</v>
      </c>
      <c r="H15" s="3">
        <f t="shared" ref="H15:H47" si="4">G15/12</f>
        <v>0</v>
      </c>
    </row>
    <row r="16" spans="1:14" x14ac:dyDescent="0.25">
      <c r="A16" t="s">
        <v>38</v>
      </c>
      <c r="B16" s="5">
        <f>D16*E16</f>
        <v>960</v>
      </c>
      <c r="D16">
        <v>120</v>
      </c>
      <c r="E16" s="3">
        <v>8</v>
      </c>
      <c r="G16">
        <f t="shared" si="3"/>
        <v>0</v>
      </c>
      <c r="H16" s="3">
        <f t="shared" si="4"/>
        <v>0</v>
      </c>
      <c r="J16">
        <v>0</v>
      </c>
      <c r="L16" s="9" t="str">
        <f t="shared" ref="L16:L47" si="5">IF(J16&gt;0,E16,"")</f>
        <v/>
      </c>
      <c r="M16" s="12" t="str">
        <f>IF(J16&gt;0,L16*120,"")</f>
        <v/>
      </c>
    </row>
    <row r="17" spans="1:13" x14ac:dyDescent="0.25">
      <c r="A17" t="s">
        <v>3</v>
      </c>
      <c r="B17" s="5">
        <v>200</v>
      </c>
      <c r="C17" s="5">
        <v>75</v>
      </c>
      <c r="D17">
        <v>120</v>
      </c>
      <c r="E17" s="3">
        <f t="shared" ref="E17:E40" si="6">IF(B17=0,0,B17/D17)</f>
        <v>1.6666666666666667</v>
      </c>
      <c r="F17">
        <v>2</v>
      </c>
      <c r="G17">
        <f t="shared" si="3"/>
        <v>150</v>
      </c>
      <c r="H17" s="3">
        <f t="shared" si="4"/>
        <v>12.5</v>
      </c>
      <c r="J17">
        <v>0</v>
      </c>
      <c r="L17" s="9" t="str">
        <f t="shared" si="5"/>
        <v/>
      </c>
      <c r="M17" s="12" t="str">
        <f>IF(J17&gt;0,L17*120,"")</f>
        <v/>
      </c>
    </row>
    <row r="18" spans="1:13" x14ac:dyDescent="0.25">
      <c r="A18" t="s">
        <v>33</v>
      </c>
      <c r="B18" s="5">
        <v>50</v>
      </c>
      <c r="D18">
        <v>120</v>
      </c>
      <c r="E18" s="3">
        <f>IF(B18=0,0,B18/D18)</f>
        <v>0.41666666666666669</v>
      </c>
      <c r="F18">
        <v>2</v>
      </c>
      <c r="G18">
        <f t="shared" si="3"/>
        <v>100</v>
      </c>
      <c r="H18" s="3">
        <f t="shared" si="4"/>
        <v>8.3333333333333339</v>
      </c>
      <c r="L18" s="9" t="str">
        <f>IF(J18&gt;0,E18,"")</f>
        <v/>
      </c>
      <c r="M18" s="12" t="str">
        <f>IF(J18&gt;0,L18*120,"")</f>
        <v/>
      </c>
    </row>
    <row r="19" spans="1:13" x14ac:dyDescent="0.25">
      <c r="A19" t="s">
        <v>29</v>
      </c>
      <c r="B19" s="5">
        <v>1625</v>
      </c>
      <c r="D19">
        <v>120</v>
      </c>
      <c r="E19" s="3">
        <f t="shared" si="6"/>
        <v>13.541666666666666</v>
      </c>
      <c r="F19">
        <v>0</v>
      </c>
      <c r="G19">
        <f t="shared" si="3"/>
        <v>0</v>
      </c>
      <c r="H19" s="3">
        <f t="shared" si="4"/>
        <v>0</v>
      </c>
      <c r="J19">
        <v>0</v>
      </c>
      <c r="L19" s="9" t="str">
        <f t="shared" si="5"/>
        <v/>
      </c>
      <c r="M19" s="12" t="str">
        <f>IF(J19&gt;0,L19*120,"")</f>
        <v/>
      </c>
    </row>
    <row r="20" spans="1:13" x14ac:dyDescent="0.25">
      <c r="A20" t="s">
        <v>59</v>
      </c>
      <c r="B20" s="5">
        <v>2000</v>
      </c>
      <c r="D20">
        <v>120</v>
      </c>
      <c r="E20" s="3">
        <f>IF(B20=0,0,B20/D20)</f>
        <v>16.666666666666668</v>
      </c>
      <c r="F20">
        <v>0</v>
      </c>
      <c r="G20">
        <f>IF(C20&gt;0,F20*C20,F20*B20)</f>
        <v>0</v>
      </c>
      <c r="H20" s="3">
        <f>G20/12</f>
        <v>0</v>
      </c>
      <c r="J20">
        <v>0</v>
      </c>
      <c r="L20" s="9" t="str">
        <f>IF(J20&gt;0,E20,"")</f>
        <v/>
      </c>
      <c r="M20" s="12" t="str">
        <f>IF(J20&gt;0,L20*120,"")</f>
        <v/>
      </c>
    </row>
    <row r="21" spans="1:13" x14ac:dyDescent="0.25">
      <c r="A21" t="s">
        <v>30</v>
      </c>
      <c r="B21" s="5">
        <v>300</v>
      </c>
      <c r="D21">
        <v>120</v>
      </c>
      <c r="E21" s="3">
        <f t="shared" si="6"/>
        <v>2.5</v>
      </c>
      <c r="F21">
        <v>0.25</v>
      </c>
      <c r="G21">
        <f t="shared" si="3"/>
        <v>75</v>
      </c>
      <c r="H21" s="3">
        <f t="shared" si="4"/>
        <v>6.25</v>
      </c>
      <c r="L21" s="9" t="str">
        <f t="shared" si="5"/>
        <v/>
      </c>
      <c r="M21" s="12" t="str">
        <f t="shared" ref="M21:M47" si="7">IF(J21&gt;0,L21*120,"")</f>
        <v/>
      </c>
    </row>
    <row r="22" spans="1:13" x14ac:dyDescent="0.25">
      <c r="A22" t="s">
        <v>22</v>
      </c>
      <c r="B22" s="5">
        <v>100</v>
      </c>
      <c r="D22">
        <v>120</v>
      </c>
      <c r="E22" s="3">
        <f t="shared" si="6"/>
        <v>0.83333333333333337</v>
      </c>
      <c r="F22">
        <v>4</v>
      </c>
      <c r="G22">
        <f t="shared" si="3"/>
        <v>400</v>
      </c>
      <c r="H22" s="3">
        <f t="shared" si="4"/>
        <v>33.333333333333336</v>
      </c>
      <c r="J22">
        <v>1</v>
      </c>
      <c r="L22" s="9">
        <f t="shared" si="5"/>
        <v>0.83333333333333337</v>
      </c>
      <c r="M22" s="12">
        <f t="shared" si="7"/>
        <v>100</v>
      </c>
    </row>
    <row r="23" spans="1:13" x14ac:dyDescent="0.25">
      <c r="A23" t="s">
        <v>23</v>
      </c>
      <c r="B23" s="5">
        <v>10</v>
      </c>
      <c r="D23">
        <v>120</v>
      </c>
      <c r="E23" s="3">
        <f t="shared" si="6"/>
        <v>8.3333333333333329E-2</v>
      </c>
      <c r="F23" s="15">
        <v>0</v>
      </c>
      <c r="G23">
        <f t="shared" si="3"/>
        <v>0</v>
      </c>
      <c r="H23" s="3">
        <f t="shared" si="4"/>
        <v>0</v>
      </c>
      <c r="J23">
        <v>1</v>
      </c>
      <c r="L23" s="9">
        <f t="shared" si="5"/>
        <v>8.3333333333333329E-2</v>
      </c>
      <c r="M23" s="12">
        <f t="shared" si="7"/>
        <v>10</v>
      </c>
    </row>
    <row r="24" spans="1:13" x14ac:dyDescent="0.25">
      <c r="A24" t="s">
        <v>25</v>
      </c>
      <c r="D24">
        <v>120</v>
      </c>
      <c r="E24" s="3">
        <f t="shared" si="6"/>
        <v>0</v>
      </c>
      <c r="F24">
        <v>0</v>
      </c>
      <c r="G24">
        <f t="shared" si="3"/>
        <v>0</v>
      </c>
      <c r="H24" s="3">
        <f t="shared" si="4"/>
        <v>0</v>
      </c>
      <c r="L24" s="9" t="str">
        <f t="shared" si="5"/>
        <v/>
      </c>
      <c r="M24" s="12" t="str">
        <f t="shared" si="7"/>
        <v/>
      </c>
    </row>
    <row r="25" spans="1:13" x14ac:dyDescent="0.25">
      <c r="A25" t="s">
        <v>24</v>
      </c>
      <c r="D25">
        <v>120</v>
      </c>
      <c r="E25" s="3">
        <f t="shared" si="6"/>
        <v>0</v>
      </c>
      <c r="G25">
        <f t="shared" si="3"/>
        <v>0</v>
      </c>
      <c r="H25" s="3">
        <f t="shared" si="4"/>
        <v>0</v>
      </c>
      <c r="L25" s="9" t="str">
        <f t="shared" si="5"/>
        <v/>
      </c>
      <c r="M25" s="12" t="str">
        <f t="shared" si="7"/>
        <v/>
      </c>
    </row>
    <row r="26" spans="1:13" x14ac:dyDescent="0.25">
      <c r="A26" t="s">
        <v>14</v>
      </c>
      <c r="B26" s="5">
        <v>1250</v>
      </c>
      <c r="C26" s="5">
        <v>500</v>
      </c>
      <c r="D26">
        <v>120</v>
      </c>
      <c r="E26" s="3">
        <f t="shared" si="6"/>
        <v>10.416666666666666</v>
      </c>
      <c r="F26">
        <v>0.25</v>
      </c>
      <c r="G26">
        <f t="shared" si="3"/>
        <v>125</v>
      </c>
      <c r="H26" s="3">
        <f t="shared" si="4"/>
        <v>10.416666666666666</v>
      </c>
      <c r="L26" s="9" t="str">
        <f t="shared" si="5"/>
        <v/>
      </c>
      <c r="M26" s="12" t="str">
        <f t="shared" si="7"/>
        <v/>
      </c>
    </row>
    <row r="27" spans="1:13" x14ac:dyDescent="0.25">
      <c r="A27" t="s">
        <v>15</v>
      </c>
      <c r="B27" s="5">
        <v>200</v>
      </c>
      <c r="D27">
        <v>120</v>
      </c>
      <c r="E27" s="3">
        <f t="shared" si="6"/>
        <v>1.6666666666666667</v>
      </c>
      <c r="F27">
        <v>0</v>
      </c>
      <c r="G27">
        <f t="shared" si="3"/>
        <v>0</v>
      </c>
      <c r="H27" s="3">
        <f t="shared" si="4"/>
        <v>0</v>
      </c>
      <c r="L27" s="9" t="str">
        <f t="shared" si="5"/>
        <v/>
      </c>
      <c r="M27" s="12" t="str">
        <f t="shared" si="7"/>
        <v/>
      </c>
    </row>
    <row r="28" spans="1:13" x14ac:dyDescent="0.25">
      <c r="A28" t="s">
        <v>26</v>
      </c>
      <c r="D28">
        <v>120</v>
      </c>
      <c r="E28" s="3">
        <f t="shared" si="6"/>
        <v>0</v>
      </c>
      <c r="G28">
        <f t="shared" si="3"/>
        <v>0</v>
      </c>
      <c r="H28" s="3">
        <f t="shared" si="4"/>
        <v>0</v>
      </c>
      <c r="L28" s="9" t="str">
        <f t="shared" si="5"/>
        <v/>
      </c>
      <c r="M28" s="12" t="str">
        <f t="shared" si="7"/>
        <v/>
      </c>
    </row>
    <row r="29" spans="1:13" x14ac:dyDescent="0.25">
      <c r="A29" t="s">
        <v>8</v>
      </c>
      <c r="B29" s="5">
        <v>200</v>
      </c>
      <c r="D29">
        <v>120</v>
      </c>
      <c r="E29" s="3">
        <f t="shared" si="6"/>
        <v>1.6666666666666667</v>
      </c>
      <c r="F29">
        <v>2</v>
      </c>
      <c r="G29">
        <f t="shared" si="3"/>
        <v>400</v>
      </c>
      <c r="H29" s="3">
        <f t="shared" si="4"/>
        <v>33.333333333333336</v>
      </c>
      <c r="J29">
        <v>1</v>
      </c>
      <c r="L29" s="9">
        <f t="shared" si="5"/>
        <v>1.6666666666666667</v>
      </c>
      <c r="M29" s="12">
        <f t="shared" si="7"/>
        <v>200</v>
      </c>
    </row>
    <row r="30" spans="1:13" x14ac:dyDescent="0.25">
      <c r="A30" t="s">
        <v>9</v>
      </c>
      <c r="B30" s="5">
        <v>100</v>
      </c>
      <c r="D30">
        <v>120</v>
      </c>
      <c r="E30" s="3">
        <f t="shared" si="6"/>
        <v>0.83333333333333337</v>
      </c>
      <c r="F30">
        <v>2</v>
      </c>
      <c r="G30">
        <f t="shared" si="3"/>
        <v>200</v>
      </c>
      <c r="H30" s="3">
        <f t="shared" si="4"/>
        <v>16.666666666666668</v>
      </c>
      <c r="J30">
        <v>1</v>
      </c>
      <c r="L30" s="9">
        <f t="shared" si="5"/>
        <v>0.83333333333333337</v>
      </c>
      <c r="M30" s="12">
        <f t="shared" si="7"/>
        <v>100</v>
      </c>
    </row>
    <row r="31" spans="1:13" x14ac:dyDescent="0.25">
      <c r="A31" t="s">
        <v>10</v>
      </c>
      <c r="B31" s="5">
        <v>20</v>
      </c>
      <c r="D31">
        <v>120</v>
      </c>
      <c r="E31" s="3">
        <f t="shared" si="6"/>
        <v>0.16666666666666666</v>
      </c>
      <c r="F31">
        <v>0.25</v>
      </c>
      <c r="G31">
        <f t="shared" si="3"/>
        <v>5</v>
      </c>
      <c r="H31" s="3">
        <f t="shared" si="4"/>
        <v>0.41666666666666669</v>
      </c>
      <c r="J31">
        <v>1</v>
      </c>
      <c r="L31" s="9">
        <f t="shared" si="5"/>
        <v>0.16666666666666666</v>
      </c>
      <c r="M31" s="12">
        <f t="shared" si="7"/>
        <v>20</v>
      </c>
    </row>
    <row r="32" spans="1:13" x14ac:dyDescent="0.25">
      <c r="A32" t="s">
        <v>27</v>
      </c>
      <c r="D32">
        <v>120</v>
      </c>
      <c r="E32" s="3">
        <f t="shared" si="6"/>
        <v>0</v>
      </c>
      <c r="G32">
        <f t="shared" si="3"/>
        <v>0</v>
      </c>
      <c r="H32" s="3">
        <f t="shared" si="4"/>
        <v>0</v>
      </c>
      <c r="L32" s="9" t="str">
        <f t="shared" si="5"/>
        <v/>
      </c>
      <c r="M32" s="12" t="str">
        <f t="shared" si="7"/>
        <v/>
      </c>
    </row>
    <row r="33" spans="1:13" x14ac:dyDescent="0.25">
      <c r="A33" t="s">
        <v>32</v>
      </c>
      <c r="B33" s="5">
        <v>150</v>
      </c>
      <c r="D33">
        <v>120</v>
      </c>
      <c r="E33" s="3">
        <f t="shared" si="6"/>
        <v>1.25</v>
      </c>
      <c r="G33">
        <v>8</v>
      </c>
      <c r="H33" s="3">
        <f t="shared" si="4"/>
        <v>0.66666666666666663</v>
      </c>
      <c r="J33">
        <v>0</v>
      </c>
      <c r="L33" s="9" t="str">
        <f t="shared" si="5"/>
        <v/>
      </c>
      <c r="M33" s="12" t="str">
        <f t="shared" si="7"/>
        <v/>
      </c>
    </row>
    <row r="34" spans="1:13" x14ac:dyDescent="0.25">
      <c r="A34" t="s">
        <v>7</v>
      </c>
      <c r="B34" s="5">
        <v>500</v>
      </c>
      <c r="D34">
        <v>120</v>
      </c>
      <c r="E34" s="3">
        <f t="shared" si="6"/>
        <v>4.166666666666667</v>
      </c>
      <c r="G34">
        <f t="shared" si="3"/>
        <v>0</v>
      </c>
      <c r="H34" s="3">
        <f t="shared" si="4"/>
        <v>0</v>
      </c>
      <c r="L34" s="9" t="str">
        <f t="shared" si="5"/>
        <v/>
      </c>
      <c r="M34" s="12" t="str">
        <f t="shared" si="7"/>
        <v/>
      </c>
    </row>
    <row r="35" spans="1:13" x14ac:dyDescent="0.25">
      <c r="A35" t="s">
        <v>34</v>
      </c>
      <c r="B35" s="5">
        <v>1200</v>
      </c>
      <c r="D35">
        <v>120</v>
      </c>
      <c r="E35" s="3">
        <f t="shared" si="6"/>
        <v>10</v>
      </c>
      <c r="G35">
        <f t="shared" si="3"/>
        <v>0</v>
      </c>
      <c r="H35" s="3">
        <f t="shared" si="4"/>
        <v>0</v>
      </c>
      <c r="J35">
        <v>0</v>
      </c>
      <c r="L35" s="9" t="str">
        <f t="shared" si="5"/>
        <v/>
      </c>
      <c r="M35" s="12" t="str">
        <f t="shared" si="7"/>
        <v/>
      </c>
    </row>
    <row r="36" spans="1:13" x14ac:dyDescent="0.25">
      <c r="A36" t="s">
        <v>31</v>
      </c>
      <c r="B36" s="5">
        <v>1500</v>
      </c>
      <c r="D36">
        <v>120</v>
      </c>
      <c r="E36" s="3">
        <f t="shared" si="6"/>
        <v>12.5</v>
      </c>
      <c r="G36">
        <f t="shared" si="3"/>
        <v>0</v>
      </c>
      <c r="H36" s="3">
        <f t="shared" si="4"/>
        <v>0</v>
      </c>
      <c r="L36" s="9" t="str">
        <f t="shared" si="5"/>
        <v/>
      </c>
      <c r="M36" s="12" t="str">
        <f t="shared" si="7"/>
        <v/>
      </c>
    </row>
    <row r="37" spans="1:13" x14ac:dyDescent="0.25">
      <c r="A37" t="s">
        <v>6</v>
      </c>
      <c r="B37" s="5">
        <v>50</v>
      </c>
      <c r="D37">
        <v>120</v>
      </c>
      <c r="E37" s="3">
        <f t="shared" si="6"/>
        <v>0.41666666666666669</v>
      </c>
      <c r="G37">
        <f t="shared" si="3"/>
        <v>0</v>
      </c>
      <c r="H37" s="3">
        <f t="shared" si="4"/>
        <v>0</v>
      </c>
      <c r="L37" s="9" t="str">
        <f t="shared" si="5"/>
        <v/>
      </c>
      <c r="M37" s="12" t="str">
        <f t="shared" si="7"/>
        <v/>
      </c>
    </row>
    <row r="38" spans="1:13" x14ac:dyDescent="0.25">
      <c r="A38" t="s">
        <v>20</v>
      </c>
      <c r="B38" s="5">
        <v>725</v>
      </c>
      <c r="D38">
        <v>120</v>
      </c>
      <c r="E38" s="3">
        <f t="shared" si="6"/>
        <v>6.041666666666667</v>
      </c>
      <c r="G38">
        <f t="shared" si="3"/>
        <v>0</v>
      </c>
      <c r="H38" s="3">
        <f t="shared" si="4"/>
        <v>0</v>
      </c>
      <c r="L38" s="9" t="str">
        <f t="shared" si="5"/>
        <v/>
      </c>
      <c r="M38" s="12" t="str">
        <f t="shared" si="7"/>
        <v/>
      </c>
    </row>
    <row r="39" spans="1:13" x14ac:dyDescent="0.25">
      <c r="A39" t="s">
        <v>11</v>
      </c>
      <c r="B39" s="5">
        <v>150</v>
      </c>
      <c r="D39">
        <v>120</v>
      </c>
      <c r="E39" s="3">
        <f t="shared" si="6"/>
        <v>1.25</v>
      </c>
      <c r="F39">
        <v>2</v>
      </c>
      <c r="G39">
        <f t="shared" si="3"/>
        <v>300</v>
      </c>
      <c r="H39" s="3">
        <f t="shared" si="4"/>
        <v>25</v>
      </c>
      <c r="L39" s="9" t="str">
        <f t="shared" si="5"/>
        <v/>
      </c>
      <c r="M39" s="12" t="str">
        <f t="shared" si="7"/>
        <v/>
      </c>
    </row>
    <row r="40" spans="1:13" x14ac:dyDescent="0.25">
      <c r="A40" t="s">
        <v>13</v>
      </c>
      <c r="B40" s="5">
        <v>1250</v>
      </c>
      <c r="C40" s="5">
        <v>1200</v>
      </c>
      <c r="D40">
        <v>120</v>
      </c>
      <c r="E40" s="3">
        <f t="shared" si="6"/>
        <v>10.416666666666666</v>
      </c>
      <c r="F40">
        <v>0.5</v>
      </c>
      <c r="G40">
        <f t="shared" si="3"/>
        <v>600</v>
      </c>
      <c r="H40" s="3">
        <f t="shared" si="4"/>
        <v>50</v>
      </c>
      <c r="J40">
        <v>1</v>
      </c>
      <c r="L40" s="9">
        <f t="shared" si="5"/>
        <v>10.416666666666666</v>
      </c>
      <c r="M40" s="12">
        <f t="shared" si="7"/>
        <v>1250</v>
      </c>
    </row>
    <row r="41" spans="1:13" x14ac:dyDescent="0.25">
      <c r="A41" t="s">
        <v>37</v>
      </c>
      <c r="B41" s="5">
        <f>D41*E41</f>
        <v>960</v>
      </c>
      <c r="D41">
        <v>120</v>
      </c>
      <c r="E41" s="3">
        <v>8</v>
      </c>
      <c r="G41">
        <f t="shared" si="3"/>
        <v>0</v>
      </c>
      <c r="H41" s="3">
        <f t="shared" si="4"/>
        <v>0</v>
      </c>
      <c r="J41">
        <v>0</v>
      </c>
      <c r="L41" s="9" t="str">
        <f t="shared" si="5"/>
        <v/>
      </c>
      <c r="M41" s="12" t="str">
        <f t="shared" si="7"/>
        <v/>
      </c>
    </row>
    <row r="42" spans="1:13" x14ac:dyDescent="0.25">
      <c r="A42" t="s">
        <v>28</v>
      </c>
      <c r="B42" s="5">
        <v>300</v>
      </c>
      <c r="D42">
        <v>120</v>
      </c>
      <c r="E42" s="3">
        <f t="shared" ref="E42:E47" si="8">IF(B42=0,0,B42/D42)</f>
        <v>2.5</v>
      </c>
      <c r="F42">
        <v>0</v>
      </c>
      <c r="G42">
        <f t="shared" si="3"/>
        <v>0</v>
      </c>
      <c r="H42" s="3">
        <f t="shared" si="4"/>
        <v>0</v>
      </c>
      <c r="J42">
        <v>0</v>
      </c>
      <c r="L42" s="9" t="str">
        <f t="shared" si="5"/>
        <v/>
      </c>
      <c r="M42" s="12" t="str">
        <f t="shared" si="7"/>
        <v/>
      </c>
    </row>
    <row r="43" spans="1:13" x14ac:dyDescent="0.25">
      <c r="A43" t="s">
        <v>5</v>
      </c>
      <c r="B43" s="5">
        <v>50</v>
      </c>
      <c r="D43">
        <v>120</v>
      </c>
      <c r="E43" s="3">
        <f t="shared" si="8"/>
        <v>0.41666666666666669</v>
      </c>
      <c r="F43">
        <v>2</v>
      </c>
      <c r="G43">
        <f t="shared" si="3"/>
        <v>100</v>
      </c>
      <c r="H43" s="3">
        <f t="shared" si="4"/>
        <v>8.3333333333333339</v>
      </c>
      <c r="L43" s="9" t="str">
        <f t="shared" si="5"/>
        <v/>
      </c>
      <c r="M43" s="12" t="str">
        <f t="shared" si="7"/>
        <v/>
      </c>
    </row>
    <row r="44" spans="1:13" x14ac:dyDescent="0.25">
      <c r="A44" t="s">
        <v>12</v>
      </c>
      <c r="B44" s="5">
        <v>1250</v>
      </c>
      <c r="C44" s="5">
        <v>800</v>
      </c>
      <c r="D44">
        <v>120</v>
      </c>
      <c r="E44" s="3">
        <f t="shared" si="8"/>
        <v>10.416666666666666</v>
      </c>
      <c r="F44">
        <v>0.25</v>
      </c>
      <c r="G44">
        <f t="shared" si="3"/>
        <v>200</v>
      </c>
      <c r="H44" s="3">
        <f t="shared" si="4"/>
        <v>16.666666666666668</v>
      </c>
      <c r="L44" s="9" t="str">
        <f t="shared" si="5"/>
        <v/>
      </c>
      <c r="M44" s="12" t="str">
        <f t="shared" si="7"/>
        <v/>
      </c>
    </row>
    <row r="45" spans="1:13" x14ac:dyDescent="0.25">
      <c r="A45" t="s">
        <v>63</v>
      </c>
      <c r="B45" s="5">
        <f>120*4.8</f>
        <v>576</v>
      </c>
      <c r="D45">
        <v>120</v>
      </c>
      <c r="E45" s="3">
        <f t="shared" si="8"/>
        <v>4.8</v>
      </c>
      <c r="F45">
        <v>0</v>
      </c>
      <c r="G45">
        <f t="shared" si="3"/>
        <v>0</v>
      </c>
      <c r="H45" s="3">
        <f t="shared" si="4"/>
        <v>0</v>
      </c>
      <c r="L45" s="9" t="str">
        <f t="shared" si="5"/>
        <v/>
      </c>
      <c r="M45" s="12" t="str">
        <f t="shared" si="7"/>
        <v/>
      </c>
    </row>
    <row r="46" spans="1:13" x14ac:dyDescent="0.25">
      <c r="E46" s="3">
        <f t="shared" si="8"/>
        <v>0</v>
      </c>
      <c r="G46">
        <f t="shared" si="3"/>
        <v>0</v>
      </c>
      <c r="H46" s="3">
        <f t="shared" si="4"/>
        <v>0</v>
      </c>
      <c r="L46" s="9" t="str">
        <f t="shared" si="5"/>
        <v/>
      </c>
      <c r="M46" s="12" t="str">
        <f t="shared" si="7"/>
        <v/>
      </c>
    </row>
    <row r="47" spans="1:13" x14ac:dyDescent="0.25">
      <c r="E47" s="3">
        <f t="shared" si="8"/>
        <v>0</v>
      </c>
      <c r="G47">
        <f t="shared" si="3"/>
        <v>0</v>
      </c>
      <c r="H47" s="3">
        <f t="shared" si="4"/>
        <v>0</v>
      </c>
      <c r="L47" s="9" t="str">
        <f t="shared" si="5"/>
        <v/>
      </c>
      <c r="M47" s="12" t="str">
        <f t="shared" si="7"/>
        <v/>
      </c>
    </row>
    <row r="49" spans="1:13" x14ac:dyDescent="0.25">
      <c r="A49" t="s">
        <v>36</v>
      </c>
      <c r="B49" s="5">
        <f>SUM(B16:B47)</f>
        <v>15676</v>
      </c>
      <c r="D49">
        <v>120</v>
      </c>
      <c r="E49" s="5">
        <f>SUM(E16:E47)</f>
        <v>130.63333333333335</v>
      </c>
      <c r="G49" s="5">
        <f>SUM(G2:G47)</f>
        <v>5257.4</v>
      </c>
      <c r="H49" s="5">
        <f>SUM(H11:H47)</f>
        <v>330.01666666666665</v>
      </c>
      <c r="L49" s="9">
        <f>SUM(L16:L47)</f>
        <v>14</v>
      </c>
      <c r="M49" s="12">
        <f>SUM(M16:M47)</f>
        <v>1680</v>
      </c>
    </row>
    <row r="51" spans="1:13" x14ac:dyDescent="0.25">
      <c r="A51" t="s">
        <v>100</v>
      </c>
      <c r="G51" s="5">
        <f>+G49</f>
        <v>5257.4</v>
      </c>
      <c r="H51" s="3">
        <f>+H49</f>
        <v>330.01666666666665</v>
      </c>
    </row>
    <row r="52" spans="1:13" x14ac:dyDescent="0.25">
      <c r="A52" t="s">
        <v>101</v>
      </c>
      <c r="G52" s="3">
        <v>1.2</v>
      </c>
      <c r="H52" s="3">
        <f>+G52</f>
        <v>1.2</v>
      </c>
    </row>
    <row r="53" spans="1:13" x14ac:dyDescent="0.25">
      <c r="G53" s="3">
        <f>G51*G52</f>
        <v>6308.8799999999992</v>
      </c>
      <c r="H53" s="3">
        <f>H51*H52</f>
        <v>396.02</v>
      </c>
    </row>
    <row r="55" spans="1:13" x14ac:dyDescent="0.25">
      <c r="A55" t="s">
        <v>56</v>
      </c>
      <c r="B55" s="5">
        <v>250</v>
      </c>
      <c r="F55">
        <v>6</v>
      </c>
      <c r="G55" s="11">
        <f>G$53/(B55*F55)</f>
        <v>4.2059199999999999</v>
      </c>
    </row>
    <row r="56" spans="1:13" x14ac:dyDescent="0.25">
      <c r="A56" t="s">
        <v>102</v>
      </c>
      <c r="B56" s="5">
        <v>250</v>
      </c>
      <c r="C56" s="5">
        <v>4</v>
      </c>
      <c r="F56">
        <f>+F55</f>
        <v>6</v>
      </c>
      <c r="G56">
        <f>B56*C56*F56</f>
        <v>6000</v>
      </c>
    </row>
    <row r="57" spans="1:13" x14ac:dyDescent="0.25">
      <c r="E57" s="3">
        <v>60</v>
      </c>
      <c r="F57">
        <f>+F55</f>
        <v>6</v>
      </c>
      <c r="H57" s="3">
        <f>E57*F57</f>
        <v>360</v>
      </c>
    </row>
    <row r="60" spans="1:13" x14ac:dyDescent="0.25">
      <c r="A60" t="s">
        <v>39</v>
      </c>
      <c r="B60" s="5">
        <f>D60*E60</f>
        <v>48</v>
      </c>
      <c r="D60">
        <v>12</v>
      </c>
      <c r="E60" s="3">
        <v>4</v>
      </c>
    </row>
    <row r="61" spans="1:13" x14ac:dyDescent="0.25">
      <c r="B61" s="5">
        <v>50</v>
      </c>
      <c r="D61">
        <v>120</v>
      </c>
      <c r="E61" s="3">
        <f>B61/D61</f>
        <v>0.41666666666666669</v>
      </c>
    </row>
    <row r="63" spans="1:13" x14ac:dyDescent="0.25">
      <c r="A63" t="s">
        <v>47</v>
      </c>
    </row>
    <row r="64" spans="1:13" x14ac:dyDescent="0.25">
      <c r="A64" t="s">
        <v>48</v>
      </c>
      <c r="B64" s="5">
        <v>1000</v>
      </c>
      <c r="D64">
        <v>120</v>
      </c>
    </row>
    <row r="65" spans="1:9" x14ac:dyDescent="0.25">
      <c r="A65" t="s">
        <v>49</v>
      </c>
      <c r="B65" s="5">
        <f>D65*E65</f>
        <v>720</v>
      </c>
      <c r="D65">
        <v>12</v>
      </c>
      <c r="E65" s="3">
        <v>60</v>
      </c>
      <c r="F65">
        <v>24</v>
      </c>
    </row>
    <row r="66" spans="1:9" x14ac:dyDescent="0.25">
      <c r="A66" t="s">
        <v>50</v>
      </c>
      <c r="B66" s="10">
        <f>B65/B64</f>
        <v>0.72</v>
      </c>
      <c r="C66" s="10"/>
      <c r="H66" s="3">
        <f>E65*F65*B66</f>
        <v>1036.8</v>
      </c>
    </row>
    <row r="68" spans="1:9" x14ac:dyDescent="0.25">
      <c r="A68" t="s">
        <v>103</v>
      </c>
      <c r="H68" s="3">
        <v>235</v>
      </c>
      <c r="I68" s="3">
        <f>+H68</f>
        <v>235</v>
      </c>
    </row>
    <row r="69" spans="1:9" x14ac:dyDescent="0.25">
      <c r="A69" t="s">
        <v>58</v>
      </c>
      <c r="H69" s="3">
        <f>H68/2</f>
        <v>117.5</v>
      </c>
    </row>
    <row r="70" spans="1:9" x14ac:dyDescent="0.25">
      <c r="A70" t="s">
        <v>44</v>
      </c>
      <c r="H70" s="3">
        <f>H69*0.5</f>
        <v>58.75</v>
      </c>
    </row>
    <row r="71" spans="1:9" x14ac:dyDescent="0.25">
      <c r="A71" t="s">
        <v>46</v>
      </c>
      <c r="H71" s="3">
        <f>H70*0.8</f>
        <v>47</v>
      </c>
    </row>
    <row r="72" spans="1:9" x14ac:dyDescent="0.25">
      <c r="A72" t="s">
        <v>45</v>
      </c>
      <c r="H72" s="3">
        <f>H49/H71</f>
        <v>7.0216312056737582</v>
      </c>
    </row>
    <row r="73" spans="1:9" x14ac:dyDescent="0.25">
      <c r="A73" t="s">
        <v>67</v>
      </c>
      <c r="F73">
        <v>4</v>
      </c>
      <c r="H73" s="3">
        <f>F73*H68/2*0.8</f>
        <v>376</v>
      </c>
      <c r="I73">
        <f>I68*F73</f>
        <v>940</v>
      </c>
    </row>
    <row r="74" spans="1:9" x14ac:dyDescent="0.25">
      <c r="A74" t="s">
        <v>64</v>
      </c>
      <c r="H74" s="13">
        <f>1-(H$49/H73)</f>
        <v>0.12229609929078022</v>
      </c>
      <c r="I74" s="13">
        <f>(I73-H$49)/I73</f>
        <v>0.64891843971631202</v>
      </c>
    </row>
  </sheetData>
  <phoneticPr fontId="2" type="noConversion"/>
  <pageMargins left="0.25" right="0.25" top="0.75" bottom="0.75" header="0.3" footer="0.3"/>
  <pageSetup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4" workbookViewId="0">
      <selection activeCell="G4" sqref="G4"/>
    </sheetView>
  </sheetViews>
  <sheetFormatPr defaultRowHeight="15" x14ac:dyDescent="0.25"/>
  <cols>
    <col min="1" max="1" width="44.7109375" customWidth="1"/>
  </cols>
  <sheetData>
    <row r="1" spans="1:4" ht="26.25" x14ac:dyDescent="0.4">
      <c r="A1" s="17" t="s">
        <v>68</v>
      </c>
    </row>
    <row r="2" spans="1:4" x14ac:dyDescent="0.25">
      <c r="B2" t="s">
        <v>65</v>
      </c>
    </row>
    <row r="3" spans="1:4" x14ac:dyDescent="0.25">
      <c r="A3" s="16" t="s">
        <v>69</v>
      </c>
      <c r="B3" s="5">
        <f>+'Detail Review'!H49</f>
        <v>330.01666666666665</v>
      </c>
    </row>
    <row r="4" spans="1:4" x14ac:dyDescent="0.25">
      <c r="A4" t="s">
        <v>91</v>
      </c>
      <c r="B4" s="5">
        <f>B3*1.25</f>
        <v>412.52083333333331</v>
      </c>
    </row>
    <row r="5" spans="1:4" x14ac:dyDescent="0.25">
      <c r="A5" s="16" t="s">
        <v>60</v>
      </c>
    </row>
    <row r="6" spans="1:4" x14ac:dyDescent="0.25">
      <c r="A6" t="s">
        <v>70</v>
      </c>
      <c r="C6">
        <v>255</v>
      </c>
      <c r="D6" t="s">
        <v>71</v>
      </c>
    </row>
    <row r="7" spans="1:4" x14ac:dyDescent="0.25">
      <c r="A7" t="s">
        <v>72</v>
      </c>
      <c r="C7">
        <v>3</v>
      </c>
    </row>
    <row r="8" spans="1:4" x14ac:dyDescent="0.25">
      <c r="A8" t="s">
        <v>73</v>
      </c>
      <c r="C8">
        <v>6</v>
      </c>
    </row>
    <row r="9" spans="1:4" x14ac:dyDescent="0.25">
      <c r="A9" t="s">
        <v>75</v>
      </c>
      <c r="C9">
        <f>C6*C7*C8</f>
        <v>4590</v>
      </c>
    </row>
    <row r="10" spans="1:4" x14ac:dyDescent="0.25">
      <c r="A10" t="s">
        <v>74</v>
      </c>
      <c r="B10">
        <f>C9/12</f>
        <v>382.5</v>
      </c>
    </row>
    <row r="11" spans="1:4" x14ac:dyDescent="0.25">
      <c r="A11" s="16" t="s">
        <v>76</v>
      </c>
    </row>
    <row r="12" spans="1:4" x14ac:dyDescent="0.25">
      <c r="A12" t="str">
        <f>+'Detail Review'!A68</f>
        <v>Crown CR-235</v>
      </c>
    </row>
    <row r="13" spans="1:4" x14ac:dyDescent="0.25">
      <c r="A13" t="s">
        <v>77</v>
      </c>
      <c r="B13">
        <v>8</v>
      </c>
    </row>
    <row r="14" spans="1:4" x14ac:dyDescent="0.25">
      <c r="A14" t="s">
        <v>79</v>
      </c>
      <c r="B14">
        <f>+'Detail Review'!H68</f>
        <v>235</v>
      </c>
    </row>
    <row r="15" spans="1:4" x14ac:dyDescent="0.25">
      <c r="A15" t="s">
        <v>78</v>
      </c>
      <c r="B15">
        <f>B13/2</f>
        <v>4</v>
      </c>
    </row>
    <row r="16" spans="1:4" x14ac:dyDescent="0.25">
      <c r="A16" t="s">
        <v>80</v>
      </c>
      <c r="B16">
        <f>B14*B15</f>
        <v>940</v>
      </c>
    </row>
    <row r="17" spans="1:4" x14ac:dyDescent="0.25">
      <c r="A17" t="s">
        <v>81</v>
      </c>
      <c r="B17">
        <f>B16/2</f>
        <v>470</v>
      </c>
    </row>
    <row r="18" spans="1:4" x14ac:dyDescent="0.25">
      <c r="A18" s="16" t="s">
        <v>61</v>
      </c>
    </row>
    <row r="19" spans="1:4" x14ac:dyDescent="0.25">
      <c r="A19" t="s">
        <v>82</v>
      </c>
    </row>
    <row r="20" spans="1:4" x14ac:dyDescent="0.25">
      <c r="A20" t="s">
        <v>83</v>
      </c>
      <c r="B20">
        <v>2400</v>
      </c>
      <c r="C20">
        <f>B20/36</f>
        <v>66.666666666666671</v>
      </c>
      <c r="D20" t="s">
        <v>99</v>
      </c>
    </row>
    <row r="21" spans="1:4" x14ac:dyDescent="0.25">
      <c r="A21" t="s">
        <v>84</v>
      </c>
      <c r="B21">
        <v>60</v>
      </c>
    </row>
    <row r="22" spans="1:4" x14ac:dyDescent="0.25">
      <c r="A22" t="s">
        <v>85</v>
      </c>
      <c r="B22">
        <f>B21*C8</f>
        <v>360</v>
      </c>
    </row>
    <row r="23" spans="1:4" x14ac:dyDescent="0.25">
      <c r="A23" s="16" t="s">
        <v>86</v>
      </c>
    </row>
    <row r="24" spans="1:4" x14ac:dyDescent="0.25">
      <c r="A24" t="s">
        <v>88</v>
      </c>
      <c r="C24">
        <v>3000</v>
      </c>
      <c r="D24" t="s">
        <v>87</v>
      </c>
    </row>
    <row r="25" spans="1:4" x14ac:dyDescent="0.25">
      <c r="A25" t="s">
        <v>89</v>
      </c>
      <c r="C25">
        <v>6000</v>
      </c>
      <c r="D25" t="s">
        <v>87</v>
      </c>
    </row>
    <row r="26" spans="1:4" x14ac:dyDescent="0.25">
      <c r="A26" t="s">
        <v>90</v>
      </c>
      <c r="C26">
        <v>90</v>
      </c>
    </row>
    <row r="27" spans="1:4" x14ac:dyDescent="0.25">
      <c r="A27" s="16" t="s">
        <v>92</v>
      </c>
    </row>
    <row r="28" spans="1:4" x14ac:dyDescent="0.25">
      <c r="A28" t="s">
        <v>93</v>
      </c>
      <c r="B28">
        <v>60</v>
      </c>
      <c r="C28" t="s">
        <v>95</v>
      </c>
    </row>
    <row r="29" spans="1:4" x14ac:dyDescent="0.25">
      <c r="A29" t="s">
        <v>94</v>
      </c>
      <c r="B29">
        <v>24</v>
      </c>
      <c r="C29" t="s">
        <v>96</v>
      </c>
    </row>
    <row r="30" spans="1:4" x14ac:dyDescent="0.25">
      <c r="B30">
        <f>B28*B29</f>
        <v>1440</v>
      </c>
      <c r="C30" t="s">
        <v>97</v>
      </c>
    </row>
    <row r="31" spans="1:4" x14ac:dyDescent="0.25">
      <c r="A31" s="16" t="s">
        <v>62</v>
      </c>
    </row>
    <row r="32" spans="1:4" x14ac:dyDescent="0.25">
      <c r="A32" t="s">
        <v>98</v>
      </c>
    </row>
  </sheetData>
  <phoneticPr fontId="2" type="noConversion"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 Review</vt:lpstr>
      <vt:lpstr>Summary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 Houser</cp:lastModifiedBy>
  <cp:lastPrinted>2015-07-08T18:12:21Z</cp:lastPrinted>
  <dcterms:created xsi:type="dcterms:W3CDTF">2013-12-24T14:17:51Z</dcterms:created>
  <dcterms:modified xsi:type="dcterms:W3CDTF">2016-09-29T17:53:05Z</dcterms:modified>
</cp:coreProperties>
</file>